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1485" windowWidth="15240" windowHeight="8910" tabRatio="666" activeTab="0"/>
  </bookViews>
  <sheets>
    <sheet name="INSTRUCTIONS" sheetId="1" r:id="rId1"/>
    <sheet name="a mean" sheetId="2" r:id="rId2"/>
    <sheet name="difference of 2 means" sheetId="3" r:id="rId3"/>
    <sheet name="a proportion or odds" sheetId="4" r:id="rId4"/>
    <sheet name="compare 2 proportions or odds" sheetId="5" r:id="rId5"/>
    <sheet name="two-level likelihood ratios" sheetId="6" r:id="rId6"/>
  </sheets>
  <definedNames>
    <definedName name="aLR">'two-level likelihood ratios'!$D$6</definedName>
    <definedName name="bLR">'two-level likelihood ratios'!$E$6</definedName>
    <definedName name="CI2m">'difference of 2 means'!$C$13</definedName>
    <definedName name="CI2p">'compare 2 proportions or odds'!$C$11</definedName>
    <definedName name="CILR">'two-level likelihood ratios'!$C$9</definedName>
    <definedName name="CIm">'a mean'!$B$9</definedName>
    <definedName name="CIp">'a proportion or odds'!$C$7</definedName>
    <definedName name="cLR">'two-level likelihood ratios'!$D$7</definedName>
    <definedName name="dfm">'a mean'!$B$7-1</definedName>
    <definedName name="dLR">'two-level likelihood ratios'!$E$7</definedName>
    <definedName name="L12p">'compare 2 proportions or odds'!$H$6</definedName>
    <definedName name="L22p">'compare 2 proportions or odds'!$H$9</definedName>
    <definedName name="mean12m">'difference of 2 means'!$C$5</definedName>
    <definedName name="mean22m">'difference of 2 means'!$C$9</definedName>
    <definedName name="meanm">'a mean'!$B$5</definedName>
    <definedName name="n12m">'difference of 2 means'!$C$7</definedName>
    <definedName name="n12p">'compare 2 proportions or odds'!$C$6</definedName>
    <definedName name="n22m">'difference of 2 means'!$C$11</definedName>
    <definedName name="n22p">'compare 2 proportions or odds'!$C$9</definedName>
    <definedName name="ne" localSheetId="3">'a proportion or odds'!#REF!</definedName>
    <definedName name="nLR">aLR+bLR+cLR+dLR</definedName>
    <definedName name="NLRLR">'two-level likelihood ratios'!$C$15</definedName>
    <definedName name="nm">'a mean'!$B$7</definedName>
    <definedName name="np">'a proportion or odds'!$C$5</definedName>
    <definedName name="ORLR">'two-level likelihood ratios'!$C$16</definedName>
    <definedName name="p1" localSheetId="3">Sn</definedName>
    <definedName name="p1">Sn</definedName>
    <definedName name="p12p">x12p/n12p</definedName>
    <definedName name="p2" localSheetId="3">1-Sp</definedName>
    <definedName name="p2">1-Sp</definedName>
    <definedName name="p22p">x22p/n22p</definedName>
    <definedName name="pc" localSheetId="3">'a proportion or odds'!$C$4/'a proportion or odds'!$C$5</definedName>
    <definedName name="pe" localSheetId="3">'a proportion or odds'!#REF!/'a proportion or odds'!#REF!</definedName>
    <definedName name="PLRLR">'two-level likelihood ratios'!$C$14</definedName>
    <definedName name="pp">xp/np</definedName>
    <definedName name="q12p">1-p12p</definedName>
    <definedName name="q22p">1-p22p</definedName>
    <definedName name="qp">1-pp</definedName>
    <definedName name="SD12m">'difference of 2 means'!$C$6</definedName>
    <definedName name="SD22m">'difference of 2 means'!$C$10</definedName>
    <definedName name="SDm">'a mean'!$B$6</definedName>
    <definedName name="SElnOR2p">SQRT(1/x12p+1/(n12p-x12p)+1/x22p+1/(n22p-x22p))</definedName>
    <definedName name="SElnORLR">SQRT(1/aLR+1/bLR+1/cLR+1/dLR)</definedName>
    <definedName name="SElnRR2p">SQRT(1/x12p-1/n12p+1/x22p-1/n22p)</definedName>
    <definedName name="SEm">SDm/SQRT(nm)</definedName>
    <definedName name="Sn">'two-level likelihood ratios'!#REF!/100</definedName>
    <definedName name="SnLR">'two-level likelihood ratios'!$C$12</definedName>
    <definedName name="Sp">'two-level likelihood ratios'!#REF!/100</definedName>
    <definedName name="SpLR">'two-level likelihood ratios'!$C$13</definedName>
    <definedName name="t2m">TINV(1-CI2m/100,n12m+n22m-2)</definedName>
    <definedName name="tm">TINV(1-CIm/100,dfm)</definedName>
    <definedName name="trueNLR">bLR+dLR</definedName>
    <definedName name="truePLR">aLR+cLR</definedName>
    <definedName name="U12p">'compare 2 proportions or odds'!$J$6</definedName>
    <definedName name="U22p">'compare 2 proportions or odds'!$J$9</definedName>
    <definedName name="x12p">'compare 2 proportions or odds'!$C$5</definedName>
    <definedName name="x22p">'compare 2 proportions or odds'!$C$8</definedName>
    <definedName name="xp">'a proportion or odds'!$C$4</definedName>
    <definedName name="z2p">-NORMSINV((1-CI2p/100)/2)</definedName>
    <definedName name="zLR">-NORMSINV((1-CILR/100)/2)</definedName>
    <definedName name="zp">-NORMSINV((1-CIp/100)/2)</definedName>
  </definedNames>
  <calcPr fullCalcOnLoad="1" refMode="R1C1"/>
</workbook>
</file>

<file path=xl/comments2.xml><?xml version="1.0" encoding="utf-8"?>
<comments xmlns="http://schemas.openxmlformats.org/spreadsheetml/2006/main">
  <authors>
    <author>Rob at home</author>
  </authors>
  <commentList>
    <comment ref="B9" authorId="0">
      <text>
        <r>
          <rPr>
            <sz val="8"/>
            <rFont val="Tahoma"/>
            <family val="2"/>
          </rPr>
          <t>In this box, type the level of confidence required (for a 95% confidence interval, type "95"; for a 90% confidence interval, type "90", etc).</t>
        </r>
      </text>
    </comment>
  </commentList>
</comments>
</file>

<file path=xl/comments3.xml><?xml version="1.0" encoding="utf-8"?>
<comments xmlns="http://schemas.openxmlformats.org/spreadsheetml/2006/main">
  <authors>
    <author>A satisfied Microsoft Office user</author>
  </authors>
  <commentList>
    <comment ref="C13" authorId="0">
      <text>
        <r>
          <rPr>
            <sz val="8"/>
            <rFont val="Tahoma"/>
            <family val="2"/>
          </rPr>
          <t>In this box, type the level of confidence required (for a 95% confidence interval, type "95"; for a 90% confidence interval, type "90", etc).</t>
        </r>
      </text>
    </comment>
  </commentList>
</comments>
</file>

<file path=xl/comments4.xml><?xml version="1.0" encoding="utf-8"?>
<comments xmlns="http://schemas.openxmlformats.org/spreadsheetml/2006/main">
  <authors>
    <author>A satisfied Microsoft Office user</author>
  </authors>
  <commentList>
    <comment ref="C4" authorId="0">
      <text>
        <r>
          <rPr>
            <sz val="8"/>
            <rFont val="Tahoma"/>
            <family val="2"/>
          </rPr>
          <t>In this box, type in the number of subjects experiencing the event of interest.
Example:
if, in a study of prognosis after upper abdominal surgery, 12 of 48 subjects experienced respiratory infections, you would type "12" here.</t>
        </r>
      </text>
    </comment>
    <comment ref="C5" authorId="0">
      <text>
        <r>
          <rPr>
            <sz val="8"/>
            <rFont val="Tahoma"/>
            <family val="2"/>
          </rPr>
          <t>In this box, type the total number of subjects.
Example:
if, in a study of prognosis after upper abdominal surgery, 12 of 48 subjects in the control group experienced respiratory infections, you would type "48" here.</t>
        </r>
      </text>
    </comment>
    <comment ref="C7" authorId="0">
      <text>
        <r>
          <rPr>
            <sz val="8"/>
            <rFont val="Tahoma"/>
            <family val="2"/>
          </rPr>
          <t>In this box, type the level of confidence required (for a 95% confidence interval, type "95"; for a 90% confidence interval, type "90", etc).</t>
        </r>
      </text>
    </comment>
  </commentList>
</comments>
</file>

<file path=xl/comments5.xml><?xml version="1.0" encoding="utf-8"?>
<comments xmlns="http://schemas.openxmlformats.org/spreadsheetml/2006/main">
  <authors>
    <author>A satisfied Microsoft Office user</author>
  </authors>
  <commentList>
    <comment ref="C5" authorId="0">
      <text>
        <r>
          <rPr>
            <sz val="8"/>
            <rFont val="Tahoma"/>
            <family val="2"/>
          </rPr>
          <t>In this box, type in the number of subjects in the control group experiencing the event of interest.
Example:
if, in a study of a therapy aimed at preventing respiratory infection, 12 of 48 subjects in the control group experienced respiratory infections, you would type "12" here.</t>
        </r>
      </text>
    </comment>
    <comment ref="C6" authorId="0">
      <text>
        <r>
          <rPr>
            <sz val="8"/>
            <rFont val="Tahoma"/>
            <family val="2"/>
          </rPr>
          <t>In this box, type the total number of subjects in the control group.
Example:
if, in a study of a therapy aimed at preventing respiratory infection, 12 of 48 subjects in the control group experienced respiratory infections, you would type "48" here.</t>
        </r>
      </text>
    </comment>
    <comment ref="C8" authorId="0">
      <text>
        <r>
          <rPr>
            <sz val="8"/>
            <rFont val="Tahoma"/>
            <family val="2"/>
          </rPr>
          <t>In this box, type in the number of subjects in the experimental (treatment) group experiencing the event of interest.
Example:
if, in a study of a therapy aimed at preventing respiratory infection, 6 of 52 subjects in the experimental group experienced respiratory infections, you would type "6" here.</t>
        </r>
      </text>
    </comment>
    <comment ref="C9" authorId="0">
      <text>
        <r>
          <rPr>
            <sz val="8"/>
            <rFont val="Tahoma"/>
            <family val="2"/>
          </rPr>
          <t>In this box, type the total number of subjects in the experimental (treatment) group.
Example:
if, in a study of a therapy aimed at preventing respiratory infection, 6 of 52 subjects in the experimental group experienced respiratory infections, you would type "52" here.</t>
        </r>
      </text>
    </comment>
    <comment ref="C11" authorId="0">
      <text>
        <r>
          <rPr>
            <sz val="8"/>
            <rFont val="Tahoma"/>
            <family val="2"/>
          </rPr>
          <t>In this box, type the level of confidence required (for a 95% confidence interval, type "95"; for a 90% confidence interval, type "90", etc).</t>
        </r>
      </text>
    </comment>
  </commentList>
</comments>
</file>

<file path=xl/comments6.xml><?xml version="1.0" encoding="utf-8"?>
<comments xmlns="http://schemas.openxmlformats.org/spreadsheetml/2006/main">
  <authors>
    <author>Rob at home</author>
  </authors>
  <commentList>
    <comment ref="D6" authorId="0">
      <text>
        <r>
          <rPr>
            <sz val="8"/>
            <rFont val="Tahoma"/>
            <family val="2"/>
          </rPr>
          <t>In this box type the number of subjects who tested positive with both the test of interest and the reference standard (ie, the number of true positives).</t>
        </r>
      </text>
    </comment>
    <comment ref="E7" authorId="0">
      <text>
        <r>
          <rPr>
            <sz val="8"/>
            <rFont val="Tahoma"/>
            <family val="2"/>
          </rPr>
          <t>In this box type the number of subjects who tested negative with both the test of interest and the reference standard (ie, the number of true negatives).</t>
        </r>
      </text>
    </comment>
    <comment ref="E6" authorId="0">
      <text>
        <r>
          <rPr>
            <sz val="8"/>
            <rFont val="Tahoma"/>
            <family val="2"/>
          </rPr>
          <t>In this box type the number of subjects who tested positive with the test of interest but negative with the reference standard (ie, the number of false positives).</t>
        </r>
      </text>
    </comment>
    <comment ref="D7" authorId="0">
      <text>
        <r>
          <rPr>
            <sz val="8"/>
            <rFont val="Tahoma"/>
            <family val="2"/>
          </rPr>
          <t>In this box type the number of subjects who tested negative with the test of interest but positive with the reference standard (ie, the number of false negatives).</t>
        </r>
      </text>
    </comment>
    <comment ref="C9" authorId="0">
      <text>
        <r>
          <rPr>
            <sz val="8"/>
            <rFont val="Tahoma"/>
            <family val="2"/>
          </rPr>
          <t>In this box, type the level of confidence required (for a 95% confidence interval, type "95"; for a 90% confidence interval, type "90", etc).</t>
        </r>
      </text>
    </comment>
  </commentList>
</comments>
</file>

<file path=xl/sharedStrings.xml><?xml version="1.0" encoding="utf-8"?>
<sst xmlns="http://schemas.openxmlformats.org/spreadsheetml/2006/main" count="60" uniqueCount="51">
  <si>
    <t>RESULT:</t>
  </si>
  <si>
    <t>Enter the sample mean here:</t>
  </si>
  <si>
    <t>Enter the sample size (eg, number of subjects) here:</t>
  </si>
  <si>
    <t>Enter the required confidence interval (eg, 95%) here:</t>
  </si>
  <si>
    <t>Enter the estimated population standard deviation here:</t>
  </si>
  <si>
    <t>TO ESTIMATE A CONFIDENCE INTERVAL FOR A MEAN:</t>
  </si>
  <si>
    <t>TO ESTIMATE A CONFIDENCE INTERVAL FOR THE DIFFERENCE BETWEEN TWO MEANS:</t>
  </si>
  <si>
    <t>The estimated CI is:</t>
  </si>
  <si>
    <t>TO ESTIMATE A CONFIDENCE INTERVAL FOR A PROPORTION:</t>
  </si>
  <si>
    <t>The estimated population mean is:</t>
  </si>
  <si>
    <t>The estimated population proportion is:</t>
  </si>
  <si>
    <t>Enter the number of "events" in the sample here:</t>
  </si>
  <si>
    <t>RESULT</t>
  </si>
  <si>
    <t>The estimated difference between the two population means is:</t>
  </si>
  <si>
    <t>TO ESTIMATE CONFIDENCE INTERVAL FOR THE COMPARISON OF TWO PROPORTIONS:</t>
  </si>
  <si>
    <t>Relative Risk:</t>
  </si>
  <si>
    <t>Odds ratio:</t>
  </si>
  <si>
    <t>Enter the mean of the control group here:</t>
  </si>
  <si>
    <t>Enter the estimated population standard deviation for the control group here:</t>
  </si>
  <si>
    <t>Enter the sample size (eg, number of subjects) for the control group here:</t>
  </si>
  <si>
    <t>Enter the mean of the experimental group here:</t>
  </si>
  <si>
    <t>Enter the estimated population standard deviation for the experimental group here:</t>
  </si>
  <si>
    <t>Enter the sample size (eg, number of subjects) for the experimental group here:</t>
  </si>
  <si>
    <t>Enter the number of "events" in the control group here:</t>
  </si>
  <si>
    <t>Enter the sample size (eg, number of subjects) of the control group here:</t>
  </si>
  <si>
    <t>Enter the number of "events" in the experimental group here:</t>
  </si>
  <si>
    <t>Enter the sample size (eg, number of subjects) of the experimental group here:</t>
  </si>
  <si>
    <t>Absolute Risk Reduction:</t>
  </si>
  <si>
    <t>Number Needed to Treat:</t>
  </si>
  <si>
    <t>The estimated population odds are:</t>
  </si>
  <si>
    <t>Reference standard is positive</t>
  </si>
  <si>
    <t>Reference standard is negative</t>
  </si>
  <si>
    <t>Sensitivity:</t>
  </si>
  <si>
    <t>Specificity:</t>
  </si>
  <si>
    <t>Enter the data into this table:</t>
  </si>
  <si>
    <t>Positive likelihood ratio:</t>
  </si>
  <si>
    <t>Negative likelihood ratio:</t>
  </si>
  <si>
    <t>Diagnostic odds ratio:</t>
  </si>
  <si>
    <r>
      <t xml:space="preserve">Confidence intervals for sensitivity and specificity are produced with the Wilson score method (see above for reference). Confidence intervals for positive and negative likelihood ratios are calculated with the method described by Simel and colleagues (Simel DL, Samsa GP, Matchar DB (1991). Likelihood ratios with confidence: sample size estimation for diagnostic test studies. </t>
    </r>
    <r>
      <rPr>
        <i/>
        <sz val="10"/>
        <rFont val="Arial"/>
        <family val="0"/>
      </rPr>
      <t>Journal of Clinical Epidemiology</t>
    </r>
    <r>
      <rPr>
        <sz val="10"/>
        <rFont val="Arial"/>
        <family val="2"/>
      </rPr>
      <t>, 44, 763-70). The confidence interval for the diagnostic odds ratio is calculated as described by Armitage and Berry (see above for reference).</t>
    </r>
  </si>
  <si>
    <r>
      <t xml:space="preserve">The confidence interval for the difference between two means uses the method that assumes equal variances for the two populations (see Armitage P and Berry G (1994): </t>
    </r>
    <r>
      <rPr>
        <i/>
        <sz val="10"/>
        <rFont val="Arial"/>
        <family val="2"/>
      </rPr>
      <t>Statistical Methods in Medical Research</t>
    </r>
    <r>
      <rPr>
        <sz val="10"/>
        <rFont val="Arial"/>
        <family val="0"/>
      </rPr>
      <t xml:space="preserve"> (3rd ed.). London: Blackwell, pp 108-109).</t>
    </r>
  </si>
  <si>
    <t>TO ESTIMATE CONFIDENCE INTERVALS FOR SENSITIVITY, SPECIFICITY AND TWO-LEVEL LIKELIHOOD RATIOS:</t>
  </si>
  <si>
    <t xml:space="preserve">Test is positive </t>
  </si>
  <si>
    <t xml:space="preserve">Test is negative </t>
  </si>
  <si>
    <r>
      <t xml:space="preserve">The method used to calculate a confidence interval for a proportion is the Wilson score method without continuity correction (see Newcombe RG (1998). Two-sided confidence intervals for the single proportion: Comparison of seven methods. </t>
    </r>
    <r>
      <rPr>
        <i/>
        <sz val="10"/>
        <rFont val="Arial"/>
        <family val="2"/>
      </rPr>
      <t>Statistics in Medicine</t>
    </r>
    <r>
      <rPr>
        <sz val="10"/>
        <rFont val="Arial"/>
        <family val="0"/>
      </rPr>
      <t>, 17, 857-872).</t>
    </r>
  </si>
  <si>
    <t>Relative Risk Reduction:</t>
  </si>
  <si>
    <t>The confidence limits for the odds were obtained by taking the confidence limits for the proportion and converting those proportions into odds.</t>
  </si>
  <si>
    <t>CONFIDENCE INTERVAL CALCULATOR (last updated 24 March 2011)</t>
  </si>
  <si>
    <t>The results have been checked against worked examples in the sources cited above. Nonetheless there may still be errors. If you identify errors please contact the author, Rob Herbert, email: r.herbert@neura.edu.au.</t>
  </si>
  <si>
    <t>This spreadsheet can be used to calculate confidence intervals for a mean, the difference betweeen two means, a proportion or odds, comparisons of two proportions (the absolute risk reduction, number needed to treat, relative risk, relative risk reduction and odds ratio), sensitivity, specificity and two-level likelihood ratios.</t>
  </si>
  <si>
    <t>To use the calculator, click on the tabs at the bottom of this screen to choose the appropriate worksheet. Enter the required data. The  result will be returned under the Result heading. Note that the cells in the Results section contain formulas, even though these cells initially appear blank. Be careful not to delete or overwrite the formulas in these cells.</t>
  </si>
  <si>
    <r>
      <t xml:space="preserve">The method used to calculate a confidence interval for the difference between two proportions is the Newcombe-Wilson method without continuity correction (see Newcombe RG (1998). Interval estimation for the difference between independent proportions: Comparison of eleven methods.  </t>
    </r>
    <r>
      <rPr>
        <i/>
        <sz val="10"/>
        <rFont val="Arial"/>
        <family val="0"/>
      </rPr>
      <t xml:space="preserve">Statistics in Medicine, </t>
    </r>
    <r>
      <rPr>
        <sz val="10"/>
        <rFont val="Arial"/>
        <family val="2"/>
      </rPr>
      <t>17, 873-890). The confidence limits for the number needed to treat are the inverse of the limits for the absolute risk reduction. Confidence intervals for the relative risk and odds ratios are calculated using the methods described by Armitage and Berry (Armitage P and Berry G (1994): Statistical Methods in Medical Research (3rd ed.). London: Blackwell, p 131). The relative risk reduction and its confidence limits are 1 minus the relative risk and its confidence limits.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</si>
</sst>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39">
    <font>
      <sz val="10"/>
      <name val="Arial"/>
      <family val="0"/>
    </font>
    <font>
      <b/>
      <sz val="10"/>
      <name val="Arial"/>
      <family val="0"/>
    </font>
    <font>
      <i/>
      <sz val="10"/>
      <name val="Arial"/>
      <family val="0"/>
    </font>
    <font>
      <b/>
      <i/>
      <sz val="10"/>
      <name val="Arial"/>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4"/>
      <color indexed="17"/>
      <name val="Calibri"/>
      <family val="2"/>
    </font>
    <font>
      <sz val="14"/>
      <color indexed="20"/>
      <name val="Calibri"/>
      <family val="2"/>
    </font>
    <font>
      <sz val="14"/>
      <color indexed="19"/>
      <name val="Calibri"/>
      <family val="2"/>
    </font>
    <font>
      <sz val="14"/>
      <color indexed="62"/>
      <name val="Calibri"/>
      <family val="2"/>
    </font>
    <font>
      <b/>
      <sz val="14"/>
      <color indexed="63"/>
      <name val="Calibri"/>
      <family val="2"/>
    </font>
    <font>
      <b/>
      <sz val="14"/>
      <color indexed="10"/>
      <name val="Calibri"/>
      <family val="2"/>
    </font>
    <font>
      <sz val="14"/>
      <color indexed="10"/>
      <name val="Calibri"/>
      <family val="2"/>
    </font>
    <font>
      <b/>
      <sz val="14"/>
      <color indexed="9"/>
      <name val="Calibri"/>
      <family val="2"/>
    </font>
    <font>
      <i/>
      <sz val="14"/>
      <color indexed="23"/>
      <name val="Calibri"/>
      <family val="2"/>
    </font>
    <font>
      <b/>
      <sz val="14"/>
      <color indexed="8"/>
      <name val="Calibri"/>
      <family val="2"/>
    </font>
    <font>
      <sz val="14"/>
      <color indexed="9"/>
      <name val="Calibri"/>
      <family val="2"/>
    </font>
    <font>
      <sz val="14"/>
      <color indexed="8"/>
      <name val="Calibri"/>
      <family val="2"/>
    </font>
    <font>
      <sz val="14"/>
      <color theme="1"/>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Alignment="1">
      <alignment/>
    </xf>
    <xf numFmtId="0" fontId="0" fillId="0" borderId="0" xfId="0" applyAlignment="1">
      <alignment horizontal="left" vertical="top" wrapText="1"/>
    </xf>
    <xf numFmtId="0" fontId="1" fillId="0" borderId="0" xfId="0" applyFont="1" applyAlignment="1">
      <alignment horizontal="center" vertical="center" wrapText="1"/>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right"/>
    </xf>
    <xf numFmtId="2" fontId="0" fillId="33" borderId="0" xfId="0" applyNumberFormat="1" applyFill="1" applyAlignment="1">
      <alignment horizontal="center"/>
    </xf>
    <xf numFmtId="0" fontId="0" fillId="33" borderId="0" xfId="0" applyFill="1" applyAlignment="1">
      <alignment horizontal="center"/>
    </xf>
    <xf numFmtId="0" fontId="1" fillId="33" borderId="0" xfId="0" applyFont="1" applyFill="1" applyAlignment="1">
      <alignment horizontal="center"/>
    </xf>
    <xf numFmtId="2" fontId="0" fillId="33" borderId="0" xfId="0" applyNumberFormat="1" applyFill="1" applyAlignment="1">
      <alignment/>
    </xf>
    <xf numFmtId="0" fontId="1" fillId="33" borderId="0" xfId="0" applyFont="1" applyFill="1" applyAlignment="1">
      <alignment horizontal="right" wrapText="1"/>
    </xf>
    <xf numFmtId="0" fontId="0" fillId="33" borderId="0" xfId="0" applyFill="1" applyAlignment="1">
      <alignment/>
    </xf>
    <xf numFmtId="0" fontId="0" fillId="0" borderId="0" xfId="0" applyFont="1" applyAlignment="1">
      <alignment horizontal="left" vertical="top" wrapText="1"/>
    </xf>
    <xf numFmtId="0" fontId="0" fillId="33" borderId="0" xfId="0" applyFont="1" applyFill="1" applyAlignment="1">
      <alignment/>
    </xf>
    <xf numFmtId="0" fontId="0" fillId="33" borderId="0" xfId="0" applyFont="1" applyFill="1" applyAlignment="1">
      <alignment/>
    </xf>
    <xf numFmtId="173" fontId="0" fillId="33" borderId="0" xfId="0" applyNumberFormat="1" applyFill="1" applyAlignment="1">
      <alignment horizontal="center"/>
    </xf>
    <xf numFmtId="0" fontId="0" fillId="33" borderId="0" xfId="0" applyFont="1" applyFill="1" applyAlignment="1">
      <alignment horizontal="center"/>
    </xf>
    <xf numFmtId="2" fontId="0" fillId="33" borderId="0" xfId="0" applyNumberFormat="1" applyFill="1" applyAlignment="1">
      <alignment horizontal="left"/>
    </xf>
    <xf numFmtId="0" fontId="0" fillId="33" borderId="0" xfId="0" applyFill="1" applyAlignment="1">
      <alignment horizontal="left"/>
    </xf>
    <xf numFmtId="0" fontId="0" fillId="33" borderId="0" xfId="0" applyFont="1" applyFill="1" applyAlignment="1">
      <alignment horizontal="right"/>
    </xf>
    <xf numFmtId="0" fontId="0" fillId="33" borderId="0" xfId="0" applyFont="1" applyFill="1" applyAlignment="1">
      <alignment horizontal="left"/>
    </xf>
    <xf numFmtId="0" fontId="0" fillId="33" borderId="0" xfId="0" applyFont="1" applyFill="1" applyAlignment="1">
      <alignment/>
    </xf>
    <xf numFmtId="174" fontId="0" fillId="33" borderId="0" xfId="0" applyNumberFormat="1" applyFill="1" applyAlignment="1">
      <alignment horizontal="right"/>
    </xf>
    <xf numFmtId="174" fontId="0" fillId="33" borderId="0" xfId="0" applyNumberFormat="1" applyFill="1" applyAlignment="1">
      <alignment/>
    </xf>
    <xf numFmtId="174" fontId="0" fillId="33" borderId="0" xfId="0" applyNumberFormat="1" applyFill="1" applyAlignment="1">
      <alignment horizontal="left"/>
    </xf>
    <xf numFmtId="174" fontId="0" fillId="33" borderId="0" xfId="0" applyNumberFormat="1" applyFill="1" applyAlignment="1">
      <alignment horizontal="center"/>
    </xf>
    <xf numFmtId="174" fontId="0" fillId="33" borderId="0" xfId="0" applyNumberFormat="1" applyFont="1" applyFill="1" applyAlignment="1">
      <alignment horizontal="right"/>
    </xf>
    <xf numFmtId="174" fontId="0" fillId="33" borderId="0" xfId="0" applyNumberFormat="1" applyFont="1" applyFill="1" applyAlignment="1">
      <alignment horizontal="center"/>
    </xf>
    <xf numFmtId="174" fontId="0" fillId="33" borderId="0" xfId="0" applyNumberFormat="1" applyFont="1" applyFill="1" applyAlignment="1">
      <alignment/>
    </xf>
    <xf numFmtId="174" fontId="0" fillId="33" borderId="0" xfId="0" applyNumberFormat="1" applyFont="1" applyFill="1" applyAlignment="1">
      <alignment/>
    </xf>
    <xf numFmtId="174" fontId="0" fillId="33" borderId="0" xfId="0" applyNumberFormat="1" applyFont="1" applyFill="1" applyAlignment="1">
      <alignment horizontal="left"/>
    </xf>
    <xf numFmtId="0" fontId="0" fillId="33" borderId="0" xfId="0" applyNumberFormat="1" applyFill="1" applyAlignment="1">
      <alignment horizontal="center"/>
    </xf>
    <xf numFmtId="0" fontId="1" fillId="33" borderId="0" xfId="0" applyFont="1" applyFill="1" applyAlignment="1">
      <alignment horizontal="center" wrapText="1"/>
    </xf>
    <xf numFmtId="0" fontId="1" fillId="33" borderId="0" xfId="0" applyFont="1" applyFill="1" applyAlignment="1">
      <alignment horizontal="right" vertical="top"/>
    </xf>
    <xf numFmtId="0" fontId="0" fillId="33" borderId="10" xfId="0" applyFill="1" applyBorder="1" applyAlignment="1">
      <alignment horizontal="center"/>
    </xf>
    <xf numFmtId="0" fontId="0" fillId="33" borderId="0" xfId="0" applyFont="1" applyFill="1" applyAlignment="1">
      <alignment horizontal="center"/>
    </xf>
    <xf numFmtId="0" fontId="0" fillId="33" borderId="0" xfId="0" applyFont="1" applyFill="1" applyAlignment="1">
      <alignment/>
    </xf>
    <xf numFmtId="2" fontId="0" fillId="33" borderId="0" xfId="0" applyNumberFormat="1" applyFont="1" applyFill="1" applyAlignment="1">
      <alignment horizontal="left"/>
    </xf>
    <xf numFmtId="174" fontId="0" fillId="33" borderId="0" xfId="0" applyNumberFormat="1" applyFont="1" applyFill="1" applyAlignment="1">
      <alignment/>
    </xf>
    <xf numFmtId="0" fontId="0" fillId="33" borderId="0" xfId="0" applyFont="1" applyFill="1" applyAlignment="1">
      <alignment/>
    </xf>
    <xf numFmtId="174" fontId="0" fillId="33" borderId="0" xfId="0" applyNumberFormat="1" applyFont="1" applyFill="1" applyAlignment="1">
      <alignment horizontal="center"/>
    </xf>
    <xf numFmtId="174" fontId="0" fillId="33" borderId="0" xfId="0" applyNumberFormat="1" applyFont="1" applyFill="1" applyAlignment="1">
      <alignment horizontal="right"/>
    </xf>
    <xf numFmtId="174" fontId="0" fillId="33" borderId="0" xfId="0" applyNumberFormat="1" applyFont="1" applyFill="1" applyAlignment="1">
      <alignment horizontal="left"/>
    </xf>
    <xf numFmtId="0" fontId="0" fillId="33" borderId="0" xfId="0" applyFont="1" applyFill="1" applyAlignment="1">
      <alignment horizontal="right"/>
    </xf>
    <xf numFmtId="0" fontId="0" fillId="33" borderId="0" xfId="0" applyFont="1" applyFill="1" applyAlignment="1">
      <alignment horizontal="left"/>
    </xf>
    <xf numFmtId="173" fontId="0" fillId="33" borderId="0" xfId="0" applyNumberFormat="1" applyFont="1" applyFill="1" applyAlignment="1">
      <alignment horizontal="left"/>
    </xf>
    <xf numFmtId="173" fontId="0" fillId="33" borderId="0" xfId="0" applyNumberForma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4"/>
  <sheetViews>
    <sheetView showGridLines="0" showRowColHeaders="0" tabSelected="1" zoomScalePageLayoutView="0" workbookViewId="0" topLeftCell="A1">
      <selection activeCell="A1" sqref="A1"/>
    </sheetView>
  </sheetViews>
  <sheetFormatPr defaultColWidth="9.140625" defaultRowHeight="12.75"/>
  <cols>
    <col min="1" max="1" width="109.8515625" style="0" customWidth="1"/>
  </cols>
  <sheetData>
    <row r="1" ht="20.25" customHeight="1">
      <c r="A1" s="2" t="s">
        <v>46</v>
      </c>
    </row>
    <row r="3" ht="38.25">
      <c r="A3" s="12" t="s">
        <v>48</v>
      </c>
    </row>
    <row r="4" ht="12.75">
      <c r="A4" s="1"/>
    </row>
    <row r="5" ht="38.25">
      <c r="A5" s="12" t="s">
        <v>49</v>
      </c>
    </row>
    <row r="6" ht="12.75">
      <c r="A6" s="1"/>
    </row>
    <row r="7" ht="38.25">
      <c r="A7" s="1" t="s">
        <v>39</v>
      </c>
    </row>
    <row r="8" ht="38.25">
      <c r="A8" s="12" t="s">
        <v>43</v>
      </c>
    </row>
    <row r="9" ht="12.75">
      <c r="A9" s="1"/>
    </row>
    <row r="10" ht="25.5">
      <c r="A10" s="12" t="s">
        <v>45</v>
      </c>
    </row>
    <row r="11" ht="12.75">
      <c r="A11" s="1"/>
    </row>
    <row r="12" ht="89.25">
      <c r="A12" s="12" t="s">
        <v>50</v>
      </c>
    </row>
    <row r="13" ht="12.75">
      <c r="A13" s="1"/>
    </row>
    <row r="14" ht="63.75">
      <c r="A14" s="12" t="s">
        <v>38</v>
      </c>
    </row>
    <row r="15" ht="12.75">
      <c r="A15" s="1"/>
    </row>
    <row r="16" ht="25.5">
      <c r="A16" s="12" t="s">
        <v>47</v>
      </c>
    </row>
    <row r="17" ht="12.75">
      <c r="A17" s="1"/>
    </row>
    <row r="18" ht="12.75">
      <c r="A18" s="1"/>
    </row>
    <row r="19" ht="12.75">
      <c r="A19" s="1"/>
    </row>
    <row r="20" ht="12.75">
      <c r="A20" s="1"/>
    </row>
    <row r="21" ht="12.75">
      <c r="A21" s="1"/>
    </row>
    <row r="22" ht="12.75">
      <c r="A22" s="1"/>
    </row>
    <row r="23" ht="12.75">
      <c r="A23" s="1"/>
    </row>
    <row r="24" ht="12.75">
      <c r="A24" s="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D13"/>
  <sheetViews>
    <sheetView showGridLines="0" showRowColHeaders="0" zoomScalePageLayoutView="0" workbookViewId="0" topLeftCell="A1">
      <selection activeCell="B5" sqref="B5"/>
    </sheetView>
  </sheetViews>
  <sheetFormatPr defaultColWidth="9.140625" defaultRowHeight="12.75"/>
  <cols>
    <col min="1" max="1" width="71.57421875" style="5" customWidth="1"/>
    <col min="2" max="16384" width="9.140625" style="4" customWidth="1"/>
  </cols>
  <sheetData>
    <row r="1" ht="12.75"/>
    <row r="2" ht="12.75"/>
    <row r="3" ht="12.75">
      <c r="A3" s="5" t="s">
        <v>5</v>
      </c>
    </row>
    <row r="4" ht="12.75"/>
    <row r="5" spans="1:4" ht="12.75">
      <c r="A5" s="5" t="s">
        <v>1</v>
      </c>
      <c r="B5" s="6"/>
      <c r="C5" s="7"/>
      <c r="D5" s="6"/>
    </row>
    <row r="6" spans="1:2" ht="12.75">
      <c r="A6" s="5" t="s">
        <v>4</v>
      </c>
      <c r="B6" s="7"/>
    </row>
    <row r="7" spans="1:2" ht="12.75">
      <c r="A7" s="5" t="s">
        <v>2</v>
      </c>
      <c r="B7" s="7"/>
    </row>
    <row r="8" ht="12.75">
      <c r="B8" s="7"/>
    </row>
    <row r="9" spans="1:2" ht="12.75">
      <c r="A9" s="5" t="s">
        <v>3</v>
      </c>
      <c r="B9" s="7">
        <v>95</v>
      </c>
    </row>
    <row r="10" ht="12.75">
      <c r="B10" s="7"/>
    </row>
    <row r="11" ht="12.75">
      <c r="A11" s="5" t="s">
        <v>12</v>
      </c>
    </row>
    <row r="12" spans="1:2" ht="12.75">
      <c r="A12" s="5" t="s">
        <v>9</v>
      </c>
      <c r="B12" s="7">
        <f>IF(ISBLANK(meanm),"",meanm)</f>
      </c>
    </row>
    <row r="13" spans="1:4" ht="12.75">
      <c r="A13" s="5" t="s">
        <v>7</v>
      </c>
      <c r="B13" s="4">
        <f>IF(OR(ISBLANK(meanm),ISBLANK(SDm),ISBLANK(nm),ISBLANK(CIm),),"",meanm-tm*SEm)</f>
      </c>
      <c r="C13" s="7">
        <f>IF(OR(ISBLANK(meanm),ISBLANK(SDm),ISBLANK(nm),ISBLANK(CIm),),"","to")</f>
      </c>
      <c r="D13" s="4">
        <f>IF(OR(ISBLANK(meanm),ISBLANK(SDm),ISBLANK(nm),ISBLANK(CIm),),"",meanm+tm*SEm)</f>
      </c>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3:J17"/>
  <sheetViews>
    <sheetView showGridLines="0" showRowColHeaders="0" zoomScalePageLayoutView="0" workbookViewId="0" topLeftCell="A1">
      <selection activeCell="C5" sqref="C5"/>
    </sheetView>
  </sheetViews>
  <sheetFormatPr defaultColWidth="9.140625" defaultRowHeight="12.75"/>
  <cols>
    <col min="1" max="1" width="9.140625" style="4" customWidth="1"/>
    <col min="2" max="2" width="62.28125" style="5" customWidth="1"/>
    <col min="3" max="3" width="13.57421875" style="7" customWidth="1"/>
    <col min="4" max="5" width="9.140625" style="7" customWidth="1"/>
    <col min="6" max="16384" width="9.140625" style="4" customWidth="1"/>
  </cols>
  <sheetData>
    <row r="1" ht="12.75"/>
    <row r="2" ht="12.75"/>
    <row r="3" ht="25.5">
      <c r="B3" s="10" t="s">
        <v>6</v>
      </c>
    </row>
    <row r="4" spans="3:5" ht="12.75">
      <c r="C4" s="6"/>
      <c r="E4" s="6"/>
    </row>
    <row r="5" ht="12.75">
      <c r="B5" s="5" t="s">
        <v>17</v>
      </c>
    </row>
    <row r="6" ht="12.75">
      <c r="B6" s="5" t="s">
        <v>18</v>
      </c>
    </row>
    <row r="7" ht="12.75">
      <c r="B7" s="5" t="s">
        <v>19</v>
      </c>
    </row>
    <row r="8" ht="12.75"/>
    <row r="9" ht="12.75">
      <c r="B9" s="5" t="s">
        <v>20</v>
      </c>
    </row>
    <row r="10" ht="12.75">
      <c r="B10" s="5" t="s">
        <v>21</v>
      </c>
    </row>
    <row r="11" ht="12.75">
      <c r="B11" s="5" t="s">
        <v>22</v>
      </c>
    </row>
    <row r="12" ht="12.75"/>
    <row r="13" spans="2:10" ht="12.75">
      <c r="B13" s="5" t="s">
        <v>3</v>
      </c>
      <c r="C13" s="7">
        <v>95</v>
      </c>
      <c r="J13" s="9"/>
    </row>
    <row r="14" ht="12.75">
      <c r="J14" s="9"/>
    </row>
    <row r="15" spans="2:10" ht="12.75">
      <c r="B15" s="5" t="s">
        <v>12</v>
      </c>
      <c r="J15" s="9"/>
    </row>
    <row r="16" spans="2:3" ht="12.75">
      <c r="B16" s="5" t="s">
        <v>13</v>
      </c>
      <c r="C16" s="7">
        <f>IF(OR(ISBLANK(mean12m),ISBLANK(mean22m)),"",mean12m-mean22m)</f>
      </c>
    </row>
    <row r="17" spans="2:5" ht="12.75">
      <c r="B17" s="5" t="s">
        <v>7</v>
      </c>
      <c r="C17" s="6">
        <f>IF(OR(ISBLANK(mean12m),ISBLANK(mean22m),ISBLANK(SD12m),ISBLANK(SD22m),ISBLANK(n12m),ISBLANK(n22m),ISBLANK(CI2m)),"",mean12m-mean22m-SQRT(((n12m-1)*SD12m^2+(n22m-1)*SD22m^2)/(n12m+n22m-2))*SQRT(1/n12m+1/n22m)*t2m)</f>
      </c>
      <c r="D17" s="7">
        <f>IF(OR(ISBLANK(mean12m),ISBLANK(SD12m),ISBLANK(n12m),ISBLANK(mean22m),ISBLANK(SD22m),ISBLANK(n22m),ISBLANK(CI2m)),"","to")</f>
      </c>
      <c r="E17" s="6">
        <f>IF(OR(ISBLANK(mean12m),ISBLANK(mean22m),ISBLANK(SD12m),ISBLANK(SD22m),ISBLANK(n12m),ISBLANK(n22m),ISBLANK(CI2m)),"",mean12m-mean22m+SQRT(((n12m-1)*SD12m^2+(n22m-1)*SD22m^2)/(n12m+n22m-2))*SQRT(1/n12m+1/n22m)*t2m)</f>
      </c>
    </row>
  </sheetData>
  <sheetProtection/>
  <printOptions/>
  <pageMargins left="0.75" right="0.75" top="1" bottom="1" header="0.5" footer="0.5"/>
  <pageSetup horizontalDpi="600" verticalDpi="600" orientation="portrait" paperSize="9"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dimension ref="A1:H19"/>
  <sheetViews>
    <sheetView showGridLines="0" showRowColHeaders="0" zoomScalePageLayoutView="0" workbookViewId="0" topLeftCell="A1">
      <selection activeCell="C4" sqref="C4"/>
    </sheetView>
  </sheetViews>
  <sheetFormatPr defaultColWidth="9.140625" defaultRowHeight="12.75"/>
  <cols>
    <col min="1" max="1" width="9.140625" style="4" customWidth="1"/>
    <col min="2" max="2" width="58.421875" style="5" customWidth="1"/>
    <col min="3" max="3" width="13.57421875" style="7" customWidth="1"/>
    <col min="4" max="4" width="4.57421875" style="7" customWidth="1"/>
    <col min="5" max="5" width="9.140625" style="7" customWidth="1"/>
    <col min="6" max="8" width="9.140625" style="4" customWidth="1"/>
    <col min="9" max="16384" width="9.140625" style="14" customWidth="1"/>
  </cols>
  <sheetData>
    <row r="1" spans="1:8" s="13" customFormat="1" ht="12.75">
      <c r="A1" s="4"/>
      <c r="B1" s="5"/>
      <c r="C1" s="7"/>
      <c r="D1" s="7"/>
      <c r="E1" s="7"/>
      <c r="F1" s="4"/>
      <c r="G1" s="4"/>
      <c r="H1" s="4"/>
    </row>
    <row r="2" spans="1:8" s="13" customFormat="1" ht="25.5">
      <c r="A2" s="4"/>
      <c r="B2" s="10" t="s">
        <v>8</v>
      </c>
      <c r="C2" s="7"/>
      <c r="D2" s="7"/>
      <c r="E2" s="7"/>
      <c r="F2" s="4"/>
      <c r="G2" s="4"/>
      <c r="H2" s="4"/>
    </row>
    <row r="3" spans="1:8" s="13" customFormat="1" ht="12.75">
      <c r="A3" s="4"/>
      <c r="B3" s="5"/>
      <c r="C3" s="7"/>
      <c r="D3" s="7"/>
      <c r="F3" s="4"/>
      <c r="G3" s="4"/>
      <c r="H3" s="4"/>
    </row>
    <row r="4" spans="1:8" s="13" customFormat="1" ht="12.75">
      <c r="A4" s="4"/>
      <c r="B4" s="5" t="s">
        <v>11</v>
      </c>
      <c r="C4" s="7"/>
      <c r="D4" s="7"/>
      <c r="F4" s="4"/>
      <c r="G4" s="4"/>
      <c r="H4" s="4"/>
    </row>
    <row r="5" spans="1:8" s="13" customFormat="1" ht="12.75">
      <c r="A5" s="4"/>
      <c r="B5" s="5" t="s">
        <v>2</v>
      </c>
      <c r="C5" s="7"/>
      <c r="D5" s="7"/>
      <c r="E5" s="17"/>
      <c r="H5" s="23"/>
    </row>
    <row r="6" spans="1:8" s="13" customFormat="1" ht="12.75">
      <c r="A6" s="4"/>
      <c r="B6" s="5"/>
      <c r="C6" s="7"/>
      <c r="D6" s="7"/>
      <c r="E6" s="17"/>
      <c r="H6" s="23"/>
    </row>
    <row r="7" spans="1:8" s="13" customFormat="1" ht="12.75">
      <c r="A7" s="4"/>
      <c r="B7" s="5" t="s">
        <v>3</v>
      </c>
      <c r="C7" s="7">
        <v>95</v>
      </c>
      <c r="D7" s="7"/>
      <c r="E7" s="7"/>
      <c r="F7" s="4"/>
      <c r="G7" s="4"/>
      <c r="H7" s="11"/>
    </row>
    <row r="8" spans="1:8" s="13" customFormat="1" ht="12.75">
      <c r="A8" s="4"/>
      <c r="B8" s="5"/>
      <c r="C8" s="7"/>
      <c r="D8" s="7"/>
      <c r="F8" s="4"/>
      <c r="G8" s="4"/>
      <c r="H8" s="11"/>
    </row>
    <row r="9" spans="1:8" s="13" customFormat="1" ht="12.75">
      <c r="A9" s="4"/>
      <c r="B9" s="5" t="s">
        <v>12</v>
      </c>
      <c r="C9" s="7"/>
      <c r="D9" s="7"/>
      <c r="E9" s="17"/>
      <c r="H9" s="23"/>
    </row>
    <row r="10" spans="1:8" s="13" customFormat="1" ht="12.75">
      <c r="A10" s="4"/>
      <c r="B10" s="5" t="s">
        <v>10</v>
      </c>
      <c r="C10" s="25">
        <f>IF(OR(ISBLANK(xp),ISBLANK(np)),"",pp)</f>
      </c>
      <c r="D10" s="25">
        <f>IF(OR(ISBLANK(xp),ISBLANK(np),ISBLANK(CIp)),"","CI:")</f>
      </c>
      <c r="E10" s="25">
        <f>IF(OR(ISBLANK(xp),ISBLANK(np),ISBLANK(CIp)),"",(2*np*pp+zp^2-zp*SQRT(zp^2+4*np*pp*qp))/(2*(np+zp^2)))</f>
      </c>
      <c r="F10" s="31">
        <f>IF(OR(ISBLANK(xp),ISBLANK(np),ISBLANK(CIp)),"","to")</f>
      </c>
      <c r="G10" s="25">
        <f>IF(OR(ISBLANK(xp),ISBLANK(np),ISBLANK(CIp)),"",(2*np*pp+zp^2+zp*SQRT(zp^2+4*np*pp*qp))/(2*(np+zp^2)))</f>
      </c>
      <c r="H10" s="4"/>
    </row>
    <row r="11" spans="1:8" s="13" customFormat="1" ht="12.75">
      <c r="A11" s="4"/>
      <c r="B11" s="5" t="s">
        <v>29</v>
      </c>
      <c r="C11" s="27">
        <f>IF(OR(ISBLANK(xp),ISBLANK(np)),"",C10/(1-C10))</f>
      </c>
      <c r="D11" s="25">
        <f>IF(OR(ISBLANK(xp),ISBLANK(np),ISBLANK(CIp)),"","CI:")</f>
      </c>
      <c r="E11" s="27">
        <f>IF(OR(ISBLANK(xp),ISBLANK(np),ISBLANK(CIp)),"",E10/(1-E10))</f>
      </c>
      <c r="F11" s="7">
        <f>IF(OR(ISBLANK(xp),ISBLANK(np),ISBLANK(CIp)),"","to")</f>
      </c>
      <c r="G11" s="27">
        <f>IF(OR(ISBLANK(xp),ISBLANK(np),ISBLANK(CIp)),"",G10/(1-G10))</f>
      </c>
      <c r="H11" s="4"/>
    </row>
    <row r="12" spans="1:8" s="13" customFormat="1" ht="12.75">
      <c r="A12" s="4"/>
      <c r="B12" s="5"/>
      <c r="C12" s="7"/>
      <c r="D12" s="7"/>
      <c r="E12" s="7"/>
      <c r="F12" s="4"/>
      <c r="G12" s="4"/>
      <c r="H12" s="4"/>
    </row>
    <row r="13" spans="1:8" s="13" customFormat="1" ht="12.75">
      <c r="A13" s="4"/>
      <c r="B13" s="5"/>
      <c r="C13" s="7"/>
      <c r="D13" s="7"/>
      <c r="E13" s="7"/>
      <c r="F13" s="4"/>
      <c r="G13" s="4"/>
      <c r="H13" s="4"/>
    </row>
    <row r="14" spans="1:8" s="13" customFormat="1" ht="12.75">
      <c r="A14" s="4"/>
      <c r="B14" s="5"/>
      <c r="C14" s="25"/>
      <c r="D14" s="26"/>
      <c r="E14" s="29"/>
      <c r="F14" s="27"/>
      <c r="G14" s="30"/>
      <c r="H14" s="4"/>
    </row>
    <row r="15" spans="1:8" s="13" customFormat="1" ht="12.75">
      <c r="A15" s="4"/>
      <c r="B15" s="5"/>
      <c r="C15" s="7"/>
      <c r="D15" s="19"/>
      <c r="E15" s="21"/>
      <c r="F15" s="16"/>
      <c r="G15" s="20"/>
      <c r="H15" s="4"/>
    </row>
    <row r="16" spans="1:8" s="13" customFormat="1" ht="12.75">
      <c r="A16" s="4"/>
      <c r="B16" s="5"/>
      <c r="C16" s="25"/>
      <c r="D16" s="26"/>
      <c r="E16" s="22"/>
      <c r="F16" s="27"/>
      <c r="G16" s="24"/>
      <c r="H16" s="4"/>
    </row>
    <row r="17" spans="1:8" s="13" customFormat="1" ht="12.75">
      <c r="A17" s="4"/>
      <c r="B17" s="5"/>
      <c r="C17" s="27"/>
      <c r="D17" s="26"/>
      <c r="E17" s="26"/>
      <c r="F17" s="27"/>
      <c r="G17" s="30"/>
      <c r="H17" s="4"/>
    </row>
    <row r="18" spans="1:8" s="13" customFormat="1" ht="12.75">
      <c r="A18" s="4"/>
      <c r="B18" s="5"/>
      <c r="C18" s="25"/>
      <c r="D18" s="26"/>
      <c r="E18" s="25"/>
      <c r="F18" s="27"/>
      <c r="G18" s="25"/>
      <c r="H18" s="4"/>
    </row>
    <row r="19" spans="6:7" ht="30" customHeight="1">
      <c r="F19" s="7"/>
      <c r="G19" s="7"/>
    </row>
  </sheetData>
  <sheetProtection/>
  <printOptions/>
  <pageMargins left="0.75" right="0.75" top="1" bottom="1" header="0.5" footer="0.5"/>
  <pageSetup horizontalDpi="600" verticalDpi="600" orientation="portrait" paperSize="9"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K26"/>
  <sheetViews>
    <sheetView showGridLines="0" showRowColHeaders="0" zoomScalePageLayoutView="0" workbookViewId="0" topLeftCell="A1">
      <selection activeCell="C5" sqref="C5"/>
    </sheetView>
  </sheetViews>
  <sheetFormatPr defaultColWidth="9.140625" defaultRowHeight="12.75"/>
  <cols>
    <col min="1" max="1" width="9.140625" style="4" customWidth="1"/>
    <col min="2" max="2" width="58.421875" style="5" customWidth="1"/>
    <col min="3" max="3" width="13.57421875" style="7" customWidth="1"/>
    <col min="4" max="4" width="4.57421875" style="7" customWidth="1"/>
    <col min="5" max="5" width="9.140625" style="7" customWidth="1"/>
    <col min="6" max="8" width="9.140625" style="4" customWidth="1"/>
    <col min="9" max="16384" width="9.140625" style="14" customWidth="1"/>
  </cols>
  <sheetData>
    <row r="1" spans="1:11" s="13" customFormat="1" ht="12.75">
      <c r="A1" s="4"/>
      <c r="B1" s="5"/>
      <c r="C1" s="7"/>
      <c r="D1" s="7"/>
      <c r="E1" s="7"/>
      <c r="F1" s="4"/>
      <c r="G1" s="4"/>
      <c r="H1" s="4"/>
      <c r="I1" s="14"/>
      <c r="J1" s="14"/>
      <c r="K1" s="14"/>
    </row>
    <row r="2" spans="1:8" s="13" customFormat="1" ht="12.75">
      <c r="A2" s="4"/>
      <c r="B2" s="5"/>
      <c r="C2" s="7"/>
      <c r="D2" s="7"/>
      <c r="E2" s="7"/>
      <c r="F2" s="4"/>
      <c r="G2" s="4"/>
      <c r="H2" s="4"/>
    </row>
    <row r="3" spans="1:8" s="13" customFormat="1" ht="25.5">
      <c r="A3" s="4"/>
      <c r="B3" s="10" t="s">
        <v>14</v>
      </c>
      <c r="C3" s="7"/>
      <c r="D3" s="7"/>
      <c r="E3" s="7"/>
      <c r="F3" s="4"/>
      <c r="G3" s="4"/>
      <c r="H3" s="4"/>
    </row>
    <row r="4" spans="1:8" s="13" customFormat="1" ht="12.75">
      <c r="A4" s="4"/>
      <c r="B4" s="5"/>
      <c r="C4" s="7"/>
      <c r="D4" s="7"/>
      <c r="F4" s="4"/>
      <c r="G4" s="4"/>
      <c r="H4" s="4"/>
    </row>
    <row r="5" spans="1:9" s="13" customFormat="1" ht="12.75">
      <c r="A5" s="4"/>
      <c r="B5" s="5" t="s">
        <v>23</v>
      </c>
      <c r="C5" s="35"/>
      <c r="D5" s="35"/>
      <c r="E5" s="36">
        <f>IF(OR(ISBLANK(x12p),ISBLANK(n12p),ISBLANK(z2p)),"","The estimated proportion in the Group 1  is:")</f>
      </c>
      <c r="F5" s="36"/>
      <c r="G5" s="36"/>
      <c r="H5" s="36"/>
      <c r="I5" s="28">
        <f>IF(OR(ISBLANK(x12p),ISBLANK(n12p)),"",p12p)</f>
      </c>
    </row>
    <row r="6" spans="1:10" s="13" customFormat="1" ht="12.75">
      <c r="A6" s="4"/>
      <c r="B6" s="5" t="s">
        <v>24</v>
      </c>
      <c r="C6" s="35"/>
      <c r="D6" s="35"/>
      <c r="E6" s="37">
        <f>IF(OR(ISBLANK(x12p),ISBLANK(n12p),ISBLANK(z2p)),"","95% CI for proportion in Group 1:")</f>
      </c>
      <c r="F6" s="36"/>
      <c r="G6" s="36"/>
      <c r="H6" s="38">
        <f>IF(OR(ISBLANK(x12p),ISBLANK(n12p),ISBLANK(z2p)),"",(2*n12p*p12p+z2p^2-(z2p*(SQRT(z2p^2+4*n12p*p12p*q12p))))/(2*(n12p+z2p^2)))</f>
      </c>
      <c r="I6" s="7">
        <f>IF(OR(ISBLANK(x12p),ISBLANK(n12p),ISBLANK(zp2)),"","to")</f>
      </c>
      <c r="J6" s="24">
        <f>IF(OR(ISBLANK(x12p),ISBLANK(n12p),ISBLANK(z2p)),"",(2*n12p*p12p+z2p^2+(z2p*(SQRT(z2p^2+4*n12p*p12p*q12p))))/(2*(n12p+z2p^2)))</f>
      </c>
    </row>
    <row r="7" spans="1:10" s="13" customFormat="1" ht="12.75">
      <c r="A7" s="4"/>
      <c r="B7" s="5"/>
      <c r="C7" s="35"/>
      <c r="D7" s="35"/>
      <c r="E7" s="35"/>
      <c r="F7" s="36"/>
      <c r="G7" s="36"/>
      <c r="H7" s="39"/>
      <c r="J7" s="20"/>
    </row>
    <row r="8" spans="1:10" s="13" customFormat="1" ht="12.75">
      <c r="A8" s="4"/>
      <c r="B8" s="5" t="s">
        <v>25</v>
      </c>
      <c r="C8" s="35"/>
      <c r="D8" s="35"/>
      <c r="E8" s="36">
        <f>IF(OR(ISBLANK(x22p),ISBLANK(n22p),ISBLANK(z2p)),"","The estimated proportion in the Group 2  is:")</f>
      </c>
      <c r="F8" s="36"/>
      <c r="G8" s="36"/>
      <c r="H8" s="39"/>
      <c r="I8" s="28">
        <f>IF(OR(ISBLANK(x22p),ISBLANK(n22p)),"",p22p)</f>
      </c>
      <c r="J8" s="20"/>
    </row>
    <row r="9" spans="1:10" s="13" customFormat="1" ht="12.75">
      <c r="A9" s="4"/>
      <c r="B9" s="5" t="s">
        <v>26</v>
      </c>
      <c r="C9" s="35"/>
      <c r="D9" s="35"/>
      <c r="E9" s="37">
        <f>IF(OR(ISBLANK(x22p),ISBLANK(n22p),ISBLANK(zp2)),"","95% CI for proportion in Group 1:")</f>
      </c>
      <c r="F9" s="36"/>
      <c r="G9" s="36"/>
      <c r="H9" s="38">
        <f>IF(OR(ISBLANK(x22p),ISBLANK(n22p),ISBLANK(z2p)),"",(2*n22p*p22p+z2p^2-(z2p*(SQRT(z2p^2+4*n22p*p22p*q22p))))/(2*(n22p+z2p^2)))</f>
      </c>
      <c r="I9" s="7">
        <f>IF(OR(ISBLANK(x22p),ISBLANK(n12p),ISBLANK(zp2)),"","to")</f>
      </c>
      <c r="J9" s="24">
        <f>IF(OR(ISBLANK(x22p),ISBLANK(n22p),ISBLANK(z2p)),"",(2*n22p*p22p+z2p^2+(z2p*(SQRT(z2p^2+4*n22p*p22p*q22p))))/(2*(n22p+z2p^2)))</f>
      </c>
    </row>
    <row r="10" spans="1:8" s="13" customFormat="1" ht="12.75">
      <c r="A10" s="4"/>
      <c r="B10" s="5"/>
      <c r="C10" s="35"/>
      <c r="D10" s="35"/>
      <c r="E10" s="35"/>
      <c r="F10" s="36"/>
      <c r="G10" s="36"/>
      <c r="H10" s="36"/>
    </row>
    <row r="11" spans="1:8" s="13" customFormat="1" ht="12.75">
      <c r="A11" s="4"/>
      <c r="B11" s="5" t="s">
        <v>3</v>
      </c>
      <c r="C11" s="35">
        <v>95</v>
      </c>
      <c r="D11" s="35"/>
      <c r="E11" s="35"/>
      <c r="F11" s="36"/>
      <c r="G11" s="36"/>
      <c r="H11" s="36"/>
    </row>
    <row r="12" spans="1:8" s="13" customFormat="1" ht="12.75">
      <c r="A12" s="4"/>
      <c r="B12" s="5"/>
      <c r="C12" s="35"/>
      <c r="D12" s="35"/>
      <c r="E12" s="35"/>
      <c r="F12" s="36"/>
      <c r="G12" s="36"/>
      <c r="H12" s="36"/>
    </row>
    <row r="13" spans="1:8" s="13" customFormat="1" ht="12.75">
      <c r="A13" s="4"/>
      <c r="B13" s="5" t="s">
        <v>0</v>
      </c>
      <c r="C13" s="35"/>
      <c r="D13" s="35"/>
      <c r="E13" s="35"/>
      <c r="F13" s="36"/>
      <c r="G13" s="36"/>
      <c r="H13" s="36"/>
    </row>
    <row r="14" spans="1:8" s="13" customFormat="1" ht="12.75">
      <c r="A14" s="4"/>
      <c r="B14" s="5" t="s">
        <v>27</v>
      </c>
      <c r="C14" s="40">
        <f>IF(OR(ISBLANK(x12p),ISBLANK(n12p),ISBLANK(x22p),ISBLANK(n22p),ISBLANK(z2p)),"",p12p-p22p)</f>
      </c>
      <c r="D14" s="41">
        <f>IF(OR(ISBLANK(x12p),ISBLANK(n12p),ISBLANK(x22p),ISBLANK(n22p),ISBLANK(z2p)),"","CI:")</f>
      </c>
      <c r="E14" s="38">
        <f>IF(OR(ISBLANK(x12p),ISBLANK(n12p),ISBLANK(x22p),ISBLANK(n22p),ISBLANK(L12p),ISBLANK(U22p),ISBLANK(CI2p)),"",(p12p-p22p)-z2p*SQRT((U22p*(1-U22p)/n22p)+(L12p*(1-L12p)/n12p)))</f>
      </c>
      <c r="F14" s="40">
        <f>IF(OR(ISBLANK(x12p),ISBLANK(n12p),ISBLANK(x22p),ISBLANK(n22p),ISBLANK(z2p)),"","to")</f>
      </c>
      <c r="G14" s="42">
        <f>IF(OR(ISBLANK(x12p),ISBLANK(n12p),ISBLANK(x22p),ISBLANK(n22p),ISBLANK(L22p),ISBLANK(U12p),ISBLANK(CI2p)),"",(p12p-p22p)+z2p*SQRT((U12p*(1-U12p)/n12p)+(L22p*(1-L22p)/n22p)))</f>
      </c>
      <c r="H14" s="36"/>
    </row>
    <row r="15" spans="1:8" s="13" customFormat="1" ht="12.75">
      <c r="A15" s="4"/>
      <c r="B15" s="5" t="s">
        <v>28</v>
      </c>
      <c r="C15" s="35">
        <f>IF(OR(ISBLANK(x12p),ISBLANK(n12p),ISBLANK(x22p),ISBLANK(n22p),ISBLANK(z2p)),"",ROUND(1/C14,0))</f>
      </c>
      <c r="D15" s="43">
        <f>IF(OR(ISBLANK(x12p),ISBLANK(n12p),ISBLANK(x22p),ISBLANK(n22p),ISBLANK(z2p)),"","CI:")</f>
      </c>
      <c r="E15" s="39">
        <f>IF(OR(ISBLANK(x12p),ISBLANK(n12p),ISBLANK(x22p),ISBLANK(n22p),ISBLANK(L12p),ISBLANK(U22p),ISBLANK(CI2p)),"",ROUND(1/E14,0))</f>
      </c>
      <c r="F15" s="35">
        <f>IF(OR(ISBLANK(x12p),ISBLANK(n12p),ISBLANK(x22p),ISBLANK(n22p),ISBLANK(z2p)),"","to")</f>
      </c>
      <c r="G15" s="44">
        <f>IF(OR(ISBLANK(x12p),ISBLANK(n12p),ISBLANK(x22p),ISBLANK(n22p),ISBLANK(L22p),ISBLANK(U12p),ISBLANK(CI2p)),"",ROUND(1/G14,0))</f>
      </c>
      <c r="H15" s="36"/>
    </row>
    <row r="16" spans="1:8" s="13" customFormat="1" ht="12.75">
      <c r="A16" s="4"/>
      <c r="B16" s="5" t="s">
        <v>15</v>
      </c>
      <c r="C16" s="40">
        <f>IF(OR(ISBLANK(x12p),ISBLANK(n12p),ISBLANK(x22p),ISBLANK(n22p)),"",1-C14/p12p)</f>
      </c>
      <c r="D16" s="41">
        <f>IF(OR(ISBLANK(x12p),ISBLANK(n12p),ISBLANK(x22p),ISBLANK(n22p),ISBLANK(z2p)),"","CI:")</f>
      </c>
      <c r="E16" s="41">
        <f>IF(OR(ISBLANK(x12p),ISBLANK(n12p),ISBLANK(x22p),ISBLANK(n22p),ISBLANK(CI2p)),"",EXP(LN(C16)-z2p*SElnRR2p))</f>
      </c>
      <c r="F16" s="40">
        <f>IF(OR(ISBLANK(x12p),ISBLANK(n12p),ISBLANK(x22p),ISBLANK(n22p),ISBLANK(z2p)),"","to")</f>
      </c>
      <c r="G16" s="42">
        <f>IF(OR(ISBLANK(x12p),ISBLANK(n12p),ISBLANK(x22p),ISBLANK(n22p),ISBLANK(CI2p)),"",EXP(LN(C16)+z2p*SElnRR2p))</f>
      </c>
      <c r="H16" s="36"/>
    </row>
    <row r="17" spans="1:8" s="13" customFormat="1" ht="12.75">
      <c r="A17" s="4"/>
      <c r="B17" s="5" t="s">
        <v>44</v>
      </c>
      <c r="C17" s="40">
        <f>IF(OR(ISBLANK(x12p),ISBLANK(n12p),ISBLANK(x22p),ISBLANK(n22p)),"",C14/p12p)</f>
      </c>
      <c r="D17" s="41">
        <f>IF(OR(ISBLANK(x12p),ISBLANK(n12p),ISBLANK(x22p),ISBLANK(n22p),ISBLANK(z2p)),"","CI:")</f>
      </c>
      <c r="E17" s="41">
        <f>IF(OR(ISBLANK(x12p),ISBLANK(n12p),ISBLANK(x22p),ISBLANK(n22p),ISBLANK(CI2p)),"",1-G16)</f>
      </c>
      <c r="F17" s="40">
        <f>IF(OR(ISBLANK(x12p),ISBLANK(n12p),ISBLANK(x22p),ISBLANK(n22p),ISBLANK(z2p)),"","to")</f>
      </c>
      <c r="G17" s="42">
        <f>IF(OR(ISBLANK(x12p),ISBLANK(n12p),ISBLANK(x22p),ISBLANK(n22p),ISBLANK(CI2p)),"",1-E16)</f>
      </c>
      <c r="H17" s="36"/>
    </row>
    <row r="18" spans="1:8" s="13" customFormat="1" ht="12.75">
      <c r="A18" s="4"/>
      <c r="B18" s="5" t="s">
        <v>16</v>
      </c>
      <c r="C18" s="40">
        <f>IF(OR(ISBLANK(x12p),ISBLANK(n12p),ISBLANK(x22p),ISBLANK(n22p)),"",(x22p*(n12p-x12p))/(x12p*(n22p-x22p)))</f>
      </c>
      <c r="D18" s="41">
        <f>IF(OR(ISBLANK(x12p),ISBLANK(n12p),ISBLANK(x22p),ISBLANK(n22p),ISBLANK(z2p)),"","CI:")</f>
      </c>
      <c r="E18" s="41">
        <f>IF(OR(ISBLANK(x12p),ISBLANK(n12p),ISBLANK(x22p),ISBLANK(n22p),ISBLANK(CI2p)),"",EXP(LN(C18)-z2p*SElnOR2p))</f>
      </c>
      <c r="F18" s="40">
        <f>IF(OR(ISBLANK(x12p),ISBLANK(n12p),ISBLANK(x22p),ISBLANK(n22p),ISBLANK(z2p)),"","to")</f>
      </c>
      <c r="G18" s="42">
        <f>IF(OR(ISBLANK(x12p),ISBLANK(n12p),ISBLANK(x22p),ISBLANK(n22p),ISBLANK(CI2p)),"",EXP(LN(C18)+z2p*SElnOR2p))</f>
      </c>
      <c r="H18" s="36"/>
    </row>
    <row r="19" spans="1:8" s="13" customFormat="1" ht="12.75">
      <c r="A19" s="4"/>
      <c r="B19" s="5"/>
      <c r="C19" s="35"/>
      <c r="D19" s="35"/>
      <c r="E19" s="35"/>
      <c r="F19" s="35"/>
      <c r="G19" s="35"/>
      <c r="H19" s="36"/>
    </row>
    <row r="20" spans="1:8" s="13" customFormat="1" ht="12.75">
      <c r="A20" s="4"/>
      <c r="B20" s="5"/>
      <c r="C20" s="7"/>
      <c r="D20" s="7"/>
      <c r="E20" s="7"/>
      <c r="F20" s="4"/>
      <c r="G20" s="4"/>
      <c r="H20" s="4"/>
    </row>
    <row r="21" spans="1:8" s="13" customFormat="1" ht="12.75">
      <c r="A21" s="4"/>
      <c r="B21" s="5"/>
      <c r="C21" s="7"/>
      <c r="D21" s="7"/>
      <c r="E21" s="7"/>
      <c r="F21" s="4"/>
      <c r="G21" s="4"/>
      <c r="H21" s="4"/>
    </row>
    <row r="22" spans="1:8" s="13" customFormat="1" ht="12.75">
      <c r="A22" s="4"/>
      <c r="B22" s="5"/>
      <c r="C22" s="7"/>
      <c r="D22" s="7"/>
      <c r="E22" s="7"/>
      <c r="F22" s="4"/>
      <c r="G22" s="4"/>
      <c r="H22" s="4"/>
    </row>
    <row r="23" spans="1:8" s="13" customFormat="1" ht="12.75">
      <c r="A23" s="4"/>
      <c r="B23" s="5"/>
      <c r="C23" s="7"/>
      <c r="D23" s="7"/>
      <c r="E23" s="7"/>
      <c r="F23" s="4"/>
      <c r="G23" s="4"/>
      <c r="H23" s="4"/>
    </row>
    <row r="24" spans="1:8" s="13" customFormat="1" ht="12.75">
      <c r="A24" s="4"/>
      <c r="B24" s="5"/>
      <c r="C24" s="7"/>
      <c r="D24" s="7"/>
      <c r="E24" s="7"/>
      <c r="F24" s="4"/>
      <c r="G24" s="4"/>
      <c r="H24" s="4"/>
    </row>
    <row r="25" spans="1:8" s="13" customFormat="1" ht="12.75">
      <c r="A25" s="4"/>
      <c r="B25" s="5"/>
      <c r="C25" s="7"/>
      <c r="D25" s="7"/>
      <c r="E25" s="7"/>
      <c r="F25" s="4"/>
      <c r="G25" s="4"/>
      <c r="H25" s="4"/>
    </row>
    <row r="26" spans="9:11" ht="12.75">
      <c r="I26" s="13"/>
      <c r="J26" s="13"/>
      <c r="K26" s="13"/>
    </row>
  </sheetData>
  <sheetProtection/>
  <printOptions/>
  <pageMargins left="0.75" right="0.75" top="1" bottom="1" header="0.5" footer="0.5"/>
  <pageSetup horizontalDpi="600" verticalDpi="600" orientation="portrait" paperSize="9" r:id="rId3"/>
  <headerFooter alignWithMargins="0">
    <oddHeader>&amp;C&amp;A</oddHeader>
    <oddFooter>&amp;CPage &amp;P</oddFooter>
  </headerFooter>
  <ignoredErrors>
    <ignoredError sqref="F17" formula="1"/>
  </ignoredErrors>
  <legacyDrawing r:id="rId2"/>
</worksheet>
</file>

<file path=xl/worksheets/sheet6.xml><?xml version="1.0" encoding="utf-8"?>
<worksheet xmlns="http://schemas.openxmlformats.org/spreadsheetml/2006/main" xmlns:r="http://schemas.openxmlformats.org/officeDocument/2006/relationships">
  <dimension ref="A3:G16"/>
  <sheetViews>
    <sheetView showGridLines="0" showRowColHeaders="0" zoomScalePageLayoutView="0" workbookViewId="0" topLeftCell="B3">
      <selection activeCell="D6" sqref="D6"/>
    </sheetView>
  </sheetViews>
  <sheetFormatPr defaultColWidth="9.140625" defaultRowHeight="12.75"/>
  <cols>
    <col min="1" max="1" width="9.140625" style="4" customWidth="1"/>
    <col min="2" max="2" width="58.421875" style="5" customWidth="1"/>
    <col min="3" max="3" width="13.57421875" style="7" customWidth="1"/>
    <col min="4" max="5" width="18.28125" style="7" customWidth="1"/>
    <col min="6" max="8" width="9.140625" style="4" customWidth="1"/>
    <col min="9" max="16384" width="9.140625" style="13" customWidth="1"/>
  </cols>
  <sheetData>
    <row r="1" ht="12.75"/>
    <row r="2" ht="12.75"/>
    <row r="3" ht="38.25">
      <c r="B3" s="10" t="s">
        <v>40</v>
      </c>
    </row>
    <row r="4" spans="1:6" s="3" customFormat="1" ht="12.75">
      <c r="A4" s="4"/>
      <c r="B4" s="5"/>
      <c r="C4" s="7"/>
      <c r="D4" s="7"/>
      <c r="E4" s="7"/>
      <c r="F4" s="4"/>
    </row>
    <row r="5" spans="1:6" ht="38.25">
      <c r="A5" s="3"/>
      <c r="B5" s="33" t="s">
        <v>34</v>
      </c>
      <c r="C5" s="8"/>
      <c r="D5" s="32" t="s">
        <v>30</v>
      </c>
      <c r="E5" s="32" t="s">
        <v>31</v>
      </c>
      <c r="F5" s="3"/>
    </row>
    <row r="6" spans="3:5" ht="12.75">
      <c r="C6" s="5" t="s">
        <v>41</v>
      </c>
      <c r="D6" s="34"/>
      <c r="E6" s="34"/>
    </row>
    <row r="7" spans="3:5" ht="12.75">
      <c r="C7" s="5" t="s">
        <v>42</v>
      </c>
      <c r="D7" s="34"/>
      <c r="E7" s="34"/>
    </row>
    <row r="8" ht="12.75"/>
    <row r="9" spans="2:3" ht="12.75">
      <c r="B9" s="5" t="s">
        <v>3</v>
      </c>
      <c r="C9" s="7">
        <v>95</v>
      </c>
    </row>
    <row r="10" ht="12.75">
      <c r="G10" s="20"/>
    </row>
    <row r="11" spans="2:7" ht="12.75">
      <c r="B11" s="5" t="s">
        <v>0</v>
      </c>
      <c r="D11" s="19"/>
      <c r="E11" s="19"/>
      <c r="F11" s="16"/>
      <c r="G11" s="24"/>
    </row>
    <row r="12" spans="2:7" ht="12.75">
      <c r="B12" s="5" t="s">
        <v>32</v>
      </c>
      <c r="C12" s="25">
        <f>IF(OR(ISBLANK(aLR),ISBLANK(cLR)),"",aLR/(aLR+cLR))</f>
      </c>
      <c r="D12" s="30">
        <f>IF(OR(ISBLANK(aLR),ISBLANK(cLR),ISBLANK(CILR)),"",CONCATENATE("CI:   ",ROUND((2*truePLR*SnLR+zLR^2-zLR*SQRT(zLR^2+4*truePLR*SnLR*(1-SnLR)))/(2*(truePLR+zLR^2)),4),"   to   ",ROUND((2*truePLR*SnLR+zLR^2+zLR*SQRT(zLR^2+4*truePLR*SnLR*(1-SnLR)))/(2*(truePLR+zLR^2)),4)))</f>
      </c>
      <c r="E12" s="26"/>
      <c r="F12" s="27"/>
      <c r="G12" s="30"/>
    </row>
    <row r="13" spans="2:7" ht="12.75">
      <c r="B13" s="5" t="s">
        <v>33</v>
      </c>
      <c r="C13" s="25">
        <f>IF(OR(ISBLANK(bLR),ISBLANK(dLR)),"",dLR/(bLR+dLR))</f>
      </c>
      <c r="D13" s="30">
        <f>IF(OR(ISBLANK(bLR),ISBLANK(dLR),ISBLANK(CILR)),"",CONCATENATE("CI:   ",ROUND((2*trueNLR*SpLR+zLR^2-zLR*SQRT(zLR^2+4*trueNLR*SpLR*(1-SpLR)))/(2*(trueNLR+zLR^2)),4),"   to   ",ROUND((2*trueNLR*SpLR+zLR^2+zLR*SQRT(zLR^2+4*trueNLR*SpLR*(1-SpLR)))/(2*(trueNLR+zLR^2)),4)))</f>
      </c>
      <c r="E13" s="26"/>
      <c r="F13" s="27"/>
      <c r="G13" s="24"/>
    </row>
    <row r="14" spans="2:7" ht="12.75">
      <c r="B14" s="5" t="s">
        <v>35</v>
      </c>
      <c r="C14" s="15">
        <f>IF(OR(ISBLANK(aLR),ISBLANK(bLR),ISBLANK(cLR),ISBLANK(dLR)),"",SnLR/(1-SpLR))</f>
      </c>
      <c r="D14" s="45">
        <f>IF(OR(ISBLANK(aLR),ISBLANK(bLR),ISBLANK(cLR),ISBLANK(dLR),ISBLANK(CILR)),"",CONCATENATE("CI:   ",ROUND(EXP(LN(PLRLR)-zLR*SQRT((1-SnLR)/(truePLR*SnLR)+(SpLR)/(trueNLR*(1-SpLR)))),3),"   to   ",ROUND(EXP(LN(PLRLR)+zLR*SQRT((1-SnLR)/(truePLR*SnLR)+(SpLR)/(trueNLR*(1-SpLR)))),3)))</f>
      </c>
      <c r="E14" s="45"/>
      <c r="F14" s="27"/>
      <c r="G14" s="7"/>
    </row>
    <row r="15" spans="2:6" ht="12.75">
      <c r="B15" s="5" t="s">
        <v>36</v>
      </c>
      <c r="C15" s="15">
        <f>IF(OR(ISBLANK(aLR),ISBLANK(bLR),ISBLANK(cLR),ISBLANK(dLR)),"",(1-SnLR)/SpLR)</f>
      </c>
      <c r="D15" s="46">
        <f>IF(OR(ISBLANK(aLR),ISBLANK(bLR),ISBLANK(cLR),ISBLANK(dLR),ISBLANK(CILR)),"",CONCATENATE("CI:   ",ROUND(EXP(LN(NLRLR)-zLR*SQRT((SnLR)/(truePLR*(1-SnLR))+(1-SpLR)/(trueNLR*(SpLR)))),3),"   to   ",ROUND(EXP(LN(NLRLR)+zLR*SQRT((SnLR)/(truePLR*(1-SnLR))+(1-SpLR)/(trueNLR*(SpLR)))),3)))</f>
      </c>
      <c r="E15" s="46"/>
      <c r="F15" s="7"/>
    </row>
    <row r="16" spans="2:4" ht="12.75">
      <c r="B16" s="5" t="s">
        <v>37</v>
      </c>
      <c r="C16" s="15">
        <f>IF(OR(ISBLANK(aLR),ISBLANK(bLR),ISBLANK(cLR),ISBLANK(dLR)),"",aLR*dLR/(bLR*cLR))</f>
      </c>
      <c r="D16" s="18">
        <f>IF(OR(ISBLANK(aLR),ISBLANK(bLR),ISBLANK(cLR),ISBLANK(dLR),ISBLANK(CILR)),"",CONCATENATE("CI:   ",ROUND(EXP(LN(ORLR)-zLR*SElnORLR),3),"   to   ",ROUND(EXP(LN(ORLR)+zLR*SElnORLR),3)))</f>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Sydney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Confidence interval calculator</dc:title>
  <dc:subject/>
  <dc:creator>Rob Herbert</dc:creator>
  <cp:keywords/>
  <dc:description>Please feel free to make copies of this spreadsheet and distribute them as you wish.</dc:description>
  <cp:lastModifiedBy>Rob Herbert</cp:lastModifiedBy>
  <cp:lastPrinted>1999-03-30T07:51:53Z</cp:lastPrinted>
  <dcterms:created xsi:type="dcterms:W3CDTF">1999-02-16T06:47:57Z</dcterms:created>
  <dcterms:modified xsi:type="dcterms:W3CDTF">2013-03-24T01:26:04Z</dcterms:modified>
  <cp:category/>
  <cp:version/>
  <cp:contentType/>
  <cp:contentStatus/>
</cp:coreProperties>
</file>